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ntksv06\data\FileServer\04_税務町民課\03_窓口保険班\03_国民健康保険\03_国民健康保険税賦課徴収\R3\ホームページ\HP\"/>
    </mc:Choice>
  </mc:AlternateContent>
  <xr:revisionPtr revIDLastSave="0" documentId="13_ncr:1_{3B9ECCDF-281B-4BF0-A6E9-E4C7D6779B52}" xr6:coauthVersionLast="47" xr6:coauthVersionMax="47" xr10:uidLastSave="{00000000-0000-0000-0000-000000000000}"/>
  <bookViews>
    <workbookView xWindow="-120" yWindow="-120" windowWidth="20730" windowHeight="11040" xr2:uid="{00000000-000D-0000-FFFF-FFFF00000000}"/>
  </bookViews>
  <sheets>
    <sheet name="入力" sheetId="3" r:id="rId1"/>
    <sheet name="計算１" sheetId="4" state="hidden" r:id="rId2"/>
    <sheet name="税率" sheetId="2" state="hidden" r:id="rId3"/>
  </sheets>
  <definedNames>
    <definedName name="_xlnm.Print_Area" localSheetId="0">入力!$B$2:$M$24</definedName>
    <definedName name="年度選択">税率!$A:$A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4" l="1"/>
  <c r="E26" i="4"/>
  <c r="D26" i="4"/>
  <c r="C26" i="4"/>
  <c r="B26" i="4"/>
  <c r="R5" i="4" l="1"/>
  <c r="R6" i="4"/>
  <c r="R7" i="4"/>
  <c r="R10" i="4"/>
  <c r="R9" i="4"/>
  <c r="R8" i="4"/>
  <c r="F10" i="4"/>
  <c r="F9" i="4"/>
  <c r="F8" i="4"/>
  <c r="F7" i="4"/>
  <c r="F6" i="4"/>
  <c r="F5" i="4"/>
  <c r="E4" i="4"/>
  <c r="F4" i="4" s="1"/>
  <c r="F25" i="4"/>
  <c r="E25" i="4"/>
  <c r="D25" i="4"/>
  <c r="C25" i="4"/>
  <c r="B25" i="4"/>
  <c r="F24" i="4"/>
  <c r="E24" i="4"/>
  <c r="D24" i="4"/>
  <c r="C24" i="4"/>
  <c r="B24" i="4"/>
  <c r="F23" i="4"/>
  <c r="E23" i="4"/>
  <c r="D23" i="4"/>
  <c r="C23" i="4"/>
  <c r="B23" i="4"/>
  <c r="E10" i="4"/>
  <c r="D10" i="4"/>
  <c r="B10" i="4"/>
  <c r="C10" i="4" s="1"/>
  <c r="A10" i="4"/>
  <c r="E9" i="4"/>
  <c r="D9" i="4"/>
  <c r="B9" i="4"/>
  <c r="C9" i="4" s="1"/>
  <c r="A9" i="4"/>
  <c r="E8" i="4"/>
  <c r="D8" i="4"/>
  <c r="B8" i="4"/>
  <c r="C8" i="4" s="1"/>
  <c r="A8" i="4"/>
  <c r="E7" i="4"/>
  <c r="D7" i="4"/>
  <c r="B7" i="4"/>
  <c r="C7" i="4" s="1"/>
  <c r="A7" i="4"/>
  <c r="E6" i="4"/>
  <c r="D6" i="4"/>
  <c r="B6" i="4"/>
  <c r="C6" i="4" s="1"/>
  <c r="A6" i="4"/>
  <c r="E5" i="4"/>
  <c r="D5" i="4"/>
  <c r="B5" i="4"/>
  <c r="C5" i="4" s="1"/>
  <c r="A5" i="4"/>
  <c r="D4" i="4"/>
  <c r="B4" i="4"/>
  <c r="C4" i="4" s="1"/>
  <c r="A4" i="4"/>
  <c r="E3" i="4"/>
  <c r="F3" i="4" s="1"/>
  <c r="D3" i="4"/>
  <c r="B3" i="4"/>
  <c r="C3" i="4" s="1"/>
  <c r="A3" i="4"/>
  <c r="P4" i="4" l="1"/>
  <c r="R4" i="4"/>
  <c r="R3" i="4"/>
  <c r="R11" i="4" s="1"/>
  <c r="J10" i="3" s="1"/>
  <c r="M4" i="4"/>
  <c r="O5" i="4"/>
  <c r="O6" i="4"/>
  <c r="O9" i="4"/>
  <c r="N4" i="4"/>
  <c r="L5" i="4"/>
  <c r="L3" i="4"/>
  <c r="L7" i="4"/>
  <c r="L9" i="4"/>
  <c r="L10" i="4"/>
  <c r="L6" i="4"/>
  <c r="H6" i="4"/>
  <c r="L8" i="4"/>
  <c r="I4" i="4"/>
  <c r="G4" i="4"/>
  <c r="K10" i="4"/>
  <c r="J4" i="4"/>
  <c r="I3" i="4"/>
  <c r="H3" i="4"/>
  <c r="G3" i="4"/>
  <c r="I6" i="4"/>
  <c r="P6" i="4" s="1"/>
  <c r="K3" i="4"/>
  <c r="N6" i="4"/>
  <c r="H8" i="4"/>
  <c r="J3" i="4"/>
  <c r="I8" i="4"/>
  <c r="H4" i="4"/>
  <c r="J6" i="4"/>
  <c r="N9" i="4"/>
  <c r="G5" i="4"/>
  <c r="K6" i="4"/>
  <c r="H9" i="4"/>
  <c r="G6" i="4"/>
  <c r="K8" i="4"/>
  <c r="K4" i="4"/>
  <c r="N7" i="4"/>
  <c r="K9" i="4"/>
  <c r="J7" i="4"/>
  <c r="I5" i="4"/>
  <c r="I10" i="4"/>
  <c r="N5" i="4"/>
  <c r="H7" i="4"/>
  <c r="O10" i="4"/>
  <c r="J8" i="4"/>
  <c r="H5" i="4"/>
  <c r="K7" i="4"/>
  <c r="H10" i="4"/>
  <c r="J9" i="4"/>
  <c r="K5" i="4"/>
  <c r="N8" i="4"/>
  <c r="O3" i="4"/>
  <c r="J10" i="4"/>
  <c r="G10" i="4"/>
  <c r="G9" i="4"/>
  <c r="M9" i="4"/>
  <c r="G8" i="4"/>
  <c r="G7" i="4"/>
  <c r="J5" i="4"/>
  <c r="N3" i="4"/>
  <c r="N10" i="4"/>
  <c r="M7" i="4"/>
  <c r="O8" i="4"/>
  <c r="O7" i="4"/>
  <c r="O4" i="4"/>
  <c r="B14" i="4"/>
  <c r="M8" i="4"/>
  <c r="M10" i="4"/>
  <c r="M6" i="4"/>
  <c r="M3" i="4"/>
  <c r="L4" i="4"/>
  <c r="M5" i="4"/>
  <c r="I9" i="4"/>
  <c r="I7" i="4"/>
  <c r="A14" i="4"/>
  <c r="D14" i="4" s="1"/>
  <c r="C14" i="4" l="1"/>
  <c r="G18" i="4"/>
  <c r="H18" i="4"/>
  <c r="E14" i="4"/>
  <c r="Q4" i="4"/>
  <c r="Q6" i="4"/>
  <c r="Q7" i="4"/>
  <c r="Q8" i="4"/>
  <c r="P9" i="4"/>
  <c r="Q9" i="4"/>
  <c r="P7" i="4"/>
  <c r="P3" i="4"/>
  <c r="O11" i="4" s="1"/>
  <c r="I10" i="3" s="1"/>
  <c r="L10" i="3" s="1"/>
  <c r="P10" i="4"/>
  <c r="Q5" i="4"/>
  <c r="Q10" i="4"/>
  <c r="Q3" i="4"/>
  <c r="P8" i="4"/>
  <c r="P5" i="4"/>
  <c r="J11" i="4"/>
  <c r="N11" i="4"/>
  <c r="J9" i="3" s="1"/>
  <c r="K11" i="4"/>
  <c r="J8" i="3" s="1"/>
  <c r="G11" i="4"/>
  <c r="H11" i="4"/>
  <c r="J7" i="3" s="1"/>
  <c r="I11" i="4"/>
  <c r="L11" i="4"/>
  <c r="I9" i="3" s="1"/>
  <c r="F11" i="4"/>
  <c r="M11" i="4"/>
  <c r="E18" i="4"/>
  <c r="F18" i="4"/>
  <c r="P11" i="4" l="1"/>
  <c r="J11" i="3"/>
  <c r="Q11" i="4"/>
  <c r="D18" i="4"/>
  <c r="I7" i="3"/>
  <c r="I8" i="3"/>
  <c r="A18" i="4"/>
  <c r="I18" i="4" s="1"/>
  <c r="M18" i="4" s="1"/>
  <c r="L7" i="3" s="1"/>
  <c r="K7" i="3"/>
  <c r="B18" i="4"/>
  <c r="J18" i="4" s="1"/>
  <c r="N18" i="4" s="1"/>
  <c r="L8" i="3" s="1"/>
  <c r="K8" i="3"/>
  <c r="C18" i="4"/>
  <c r="K18" i="4" s="1"/>
  <c r="O18" i="4" s="1"/>
  <c r="L9" i="3" s="1"/>
  <c r="K9" i="3"/>
  <c r="I11" i="3" l="1"/>
  <c r="K11" i="3"/>
  <c r="L18" i="4"/>
  <c r="P18" i="4" s="1"/>
  <c r="L11" i="3" l="1"/>
  <c r="F14" i="3"/>
  <c r="F13" i="3"/>
  <c r="F12" i="3"/>
  <c r="F11" i="3"/>
  <c r="F9" i="3"/>
  <c r="F8" i="3"/>
  <c r="F7" i="3"/>
  <c r="F6" i="3"/>
  <c r="G2" i="3"/>
  <c r="G13" i="3" l="1"/>
  <c r="I15" i="3" l="1"/>
</calcChain>
</file>

<file path=xl/sharedStrings.xml><?xml version="1.0" encoding="utf-8"?>
<sst xmlns="http://schemas.openxmlformats.org/spreadsheetml/2006/main" count="114" uniqueCount="68">
  <si>
    <t>氏名</t>
    <rPh sb="0" eb="2">
      <t>シメイ</t>
    </rPh>
    <phoneticPr fontId="1"/>
  </si>
  <si>
    <t>固定資産税額</t>
    <rPh sb="0" eb="2">
      <t>コテイ</t>
    </rPh>
    <rPh sb="2" eb="4">
      <t>シサン</t>
    </rPh>
    <rPh sb="4" eb="6">
      <t>ゼイガク</t>
    </rPh>
    <phoneticPr fontId="1"/>
  </si>
  <si>
    <t>年齢</t>
    <rPh sb="0" eb="2">
      <t>ネンレイ</t>
    </rPh>
    <phoneticPr fontId="1"/>
  </si>
  <si>
    <t>医療</t>
    <rPh sb="0" eb="2">
      <t>イリョウ</t>
    </rPh>
    <phoneticPr fontId="1"/>
  </si>
  <si>
    <t>所得割</t>
    <rPh sb="0" eb="2">
      <t>ショトク</t>
    </rPh>
    <rPh sb="2" eb="3">
      <t>ワリ</t>
    </rPh>
    <phoneticPr fontId="1"/>
  </si>
  <si>
    <t>資産割</t>
    <rPh sb="0" eb="2">
      <t>シサン</t>
    </rPh>
    <rPh sb="2" eb="3">
      <t>ワリ</t>
    </rPh>
    <phoneticPr fontId="1"/>
  </si>
  <si>
    <t>均等割</t>
    <rPh sb="0" eb="2">
      <t>キントウ</t>
    </rPh>
    <rPh sb="2" eb="3">
      <t>ワリ</t>
    </rPh>
    <phoneticPr fontId="1"/>
  </si>
  <si>
    <t>支援</t>
    <rPh sb="0" eb="2">
      <t>シエン</t>
    </rPh>
    <phoneticPr fontId="1"/>
  </si>
  <si>
    <t>介護</t>
    <rPh sb="0" eb="2">
      <t>カイゴ</t>
    </rPh>
    <phoneticPr fontId="1"/>
  </si>
  <si>
    <t>月数</t>
    <rPh sb="0" eb="2">
      <t>ツキスウ</t>
    </rPh>
    <phoneticPr fontId="1"/>
  </si>
  <si>
    <t>介護月数</t>
    <rPh sb="0" eb="2">
      <t>カイゴ</t>
    </rPh>
    <rPh sb="2" eb="4">
      <t>ツキスウ</t>
    </rPh>
    <phoneticPr fontId="1"/>
  </si>
  <si>
    <t>平等割</t>
    <rPh sb="0" eb="2">
      <t>ビョウドウ</t>
    </rPh>
    <rPh sb="2" eb="3">
      <t>ワリ</t>
    </rPh>
    <phoneticPr fontId="1"/>
  </si>
  <si>
    <t>限度額</t>
    <rPh sb="0" eb="2">
      <t>ゲンド</t>
    </rPh>
    <rPh sb="2" eb="3">
      <t>ガク</t>
    </rPh>
    <phoneticPr fontId="1"/>
  </si>
  <si>
    <t>計算税額</t>
    <rPh sb="0" eb="2">
      <t>ケイサン</t>
    </rPh>
    <rPh sb="2" eb="4">
      <t>ゼイガク</t>
    </rPh>
    <phoneticPr fontId="1"/>
  </si>
  <si>
    <t>超過後</t>
    <rPh sb="0" eb="2">
      <t>チョウカ</t>
    </rPh>
    <rPh sb="2" eb="3">
      <t>ゴ</t>
    </rPh>
    <phoneticPr fontId="1"/>
  </si>
  <si>
    <t>端数切捨て</t>
    <rPh sb="0" eb="2">
      <t>ハスウ</t>
    </rPh>
    <rPh sb="2" eb="4">
      <t>キリス</t>
    </rPh>
    <phoneticPr fontId="1"/>
  </si>
  <si>
    <t>加入月数</t>
    <rPh sb="0" eb="2">
      <t>カニュウ</t>
    </rPh>
    <rPh sb="2" eb="4">
      <t>ツキスウ</t>
    </rPh>
    <phoneticPr fontId="1"/>
  </si>
  <si>
    <t>合計</t>
    <rPh sb="0" eb="2">
      <t>ゴウケイ</t>
    </rPh>
    <phoneticPr fontId="1"/>
  </si>
  <si>
    <t>ヶ月</t>
    <rPh sb="1" eb="2">
      <t>ゲツ</t>
    </rPh>
    <phoneticPr fontId="1"/>
  </si>
  <si>
    <t>任意継続との比較用</t>
    <rPh sb="0" eb="2">
      <t>ニンイ</t>
    </rPh>
    <rPh sb="2" eb="4">
      <t>ケイゾク</t>
    </rPh>
    <rPh sb="6" eb="9">
      <t>ヒカクヨウ</t>
    </rPh>
    <phoneticPr fontId="1"/>
  </si>
  <si>
    <t>加入期間1ヶ月あたり</t>
    <rPh sb="0" eb="2">
      <t>カニュウ</t>
    </rPh>
    <rPh sb="2" eb="4">
      <t>キカン</t>
    </rPh>
    <rPh sb="6" eb="7">
      <t>ゲツ</t>
    </rPh>
    <phoneticPr fontId="1"/>
  </si>
  <si>
    <t>円</t>
    <rPh sb="0" eb="1">
      <t>エン</t>
    </rPh>
    <phoneticPr fontId="1"/>
  </si>
  <si>
    <t>基準総所得金額</t>
    <rPh sb="0" eb="2">
      <t>キジュン</t>
    </rPh>
    <rPh sb="2" eb="5">
      <t>ソウショトク</t>
    </rPh>
    <rPh sb="5" eb="7">
      <t>キンガク</t>
    </rPh>
    <phoneticPr fontId="1"/>
  </si>
  <si>
    <t>基準総所得金額</t>
  </si>
  <si>
    <t>税率</t>
    <rPh sb="0" eb="2">
      <t>ゼイリツ</t>
    </rPh>
    <phoneticPr fontId="1"/>
  </si>
  <si>
    <t>年度国民健康保険税の試算</t>
    <phoneticPr fontId="1"/>
  </si>
  <si>
    <t>医療資産割</t>
  </si>
  <si>
    <t>医療所得割</t>
  </si>
  <si>
    <t>医療均等割</t>
  </si>
  <si>
    <t>医療平等割</t>
  </si>
  <si>
    <t>医療限度額</t>
  </si>
  <si>
    <t>支援資産割</t>
  </si>
  <si>
    <t>支援所得割</t>
  </si>
  <si>
    <t>支援均等割</t>
  </si>
  <si>
    <t>支援平等割</t>
  </si>
  <si>
    <t>支援限度額</t>
  </si>
  <si>
    <t>介護資産割</t>
  </si>
  <si>
    <t>介護所得割</t>
  </si>
  <si>
    <t>介護均等割</t>
  </si>
  <si>
    <t>介護平等割</t>
  </si>
  <si>
    <t>介護限度額</t>
  </si>
  <si>
    <t>計算結果</t>
    <rPh sb="0" eb="2">
      <t>ケイサン</t>
    </rPh>
    <rPh sb="2" eb="4">
      <t>ケッカ</t>
    </rPh>
    <phoneticPr fontId="1"/>
  </si>
  <si>
    <t>※計算結果は、ご入力いただいた情報を基にした概算額です。また、その他の条件により税額が大きく異なる場合もあります。</t>
    <rPh sb="1" eb="3">
      <t>ケイサン</t>
    </rPh>
    <rPh sb="3" eb="5">
      <t>ケッカ</t>
    </rPh>
    <rPh sb="8" eb="10">
      <t>ニュウリョク</t>
    </rPh>
    <rPh sb="15" eb="17">
      <t>ジョウホウ</t>
    </rPh>
    <rPh sb="18" eb="19">
      <t>モト</t>
    </rPh>
    <rPh sb="22" eb="24">
      <t>ガイサン</t>
    </rPh>
    <rPh sb="24" eb="25">
      <t>ガク</t>
    </rPh>
    <phoneticPr fontId="1"/>
  </si>
  <si>
    <t>税率決定</t>
    <rPh sb="0" eb="2">
      <t>ゼイリツ</t>
    </rPh>
    <rPh sb="2" eb="4">
      <t>ケッテイ</t>
    </rPh>
    <phoneticPr fontId="1"/>
  </si>
  <si>
    <t>総所得金額等</t>
    <rPh sb="0" eb="3">
      <t>ソウショトク</t>
    </rPh>
    <rPh sb="3" eb="5">
      <t>キンガク</t>
    </rPh>
    <rPh sb="5" eb="6">
      <t>トウ</t>
    </rPh>
    <phoneticPr fontId="1"/>
  </si>
  <si>
    <t>※40歳を迎える誕生月から、65歳を迎える誕生月の前の月までは、国民健康保険税の中に介護納付金分が含まれます。</t>
    <phoneticPr fontId="1"/>
  </si>
  <si>
    <r>
      <t xml:space="preserve">   </t>
    </r>
    <r>
      <rPr>
        <b/>
        <sz val="11"/>
        <color theme="1"/>
        <rFont val="ＭＳ Ｐゴシック"/>
        <family val="3"/>
        <charset val="128"/>
      </rPr>
      <t>実際の税額が上記のとおりになることを保証するものではございません</t>
    </r>
    <r>
      <rPr>
        <sz val="11"/>
        <color theme="1"/>
        <rFont val="ＭＳ Ｐゴシック"/>
        <family val="3"/>
        <charset val="128"/>
        <scheme val="minor"/>
      </rPr>
      <t>。</t>
    </r>
    <phoneticPr fontId="1"/>
  </si>
  <si>
    <r>
      <t>　</t>
    </r>
    <r>
      <rPr>
        <b/>
        <sz val="11"/>
        <color theme="1"/>
        <rFont val="ＭＳ Ｐゴシック"/>
        <family val="3"/>
        <charset val="128"/>
      </rPr>
      <t>年度途中に40歳、または65歳を迎える場合、計算結果と税額が変わる場合がありますのでご了承ください。</t>
    </r>
    <phoneticPr fontId="1"/>
  </si>
  <si>
    <t>※１年間の保険税です</t>
    <rPh sb="2" eb="4">
      <t>ネンカン</t>
    </rPh>
    <rPh sb="5" eb="7">
      <t>ホケン</t>
    </rPh>
    <rPh sb="7" eb="8">
      <t>ゼイ</t>
    </rPh>
    <phoneticPr fontId="1"/>
  </si>
  <si>
    <r>
      <t>※加入期間1ヶ月あたりの金額です。</t>
    </r>
    <r>
      <rPr>
        <b/>
        <sz val="11"/>
        <color theme="1"/>
        <rFont val="ＭＳ Ｐゴシック"/>
        <family val="3"/>
        <charset val="128"/>
      </rPr>
      <t>1回あたりの納付額ではありません。</t>
    </r>
    <rPh sb="1" eb="3">
      <t>カニュウ</t>
    </rPh>
    <rPh sb="3" eb="5">
      <t>キカン</t>
    </rPh>
    <rPh sb="7" eb="8">
      <t>ゲツ</t>
    </rPh>
    <rPh sb="12" eb="14">
      <t>キンガク</t>
    </rPh>
    <rPh sb="18" eb="19">
      <t>カイ</t>
    </rPh>
    <rPh sb="23" eb="25">
      <t>ノウフ</t>
    </rPh>
    <rPh sb="25" eb="26">
      <t>ガク</t>
    </rPh>
    <phoneticPr fontId="1"/>
  </si>
  <si>
    <t>被保険者氏名</t>
    <rPh sb="0" eb="4">
      <t>ヒホケンシャ</t>
    </rPh>
    <rPh sb="4" eb="6">
      <t>シメイ</t>
    </rPh>
    <phoneticPr fontId="1"/>
  </si>
  <si>
    <t>決定</t>
  </si>
  <si>
    <t>※計算結果には、法定軽減や非自発的失業者に対する軽減は反映されておりません。軽減の詳細についてはお問い合わせください。</t>
    <rPh sb="1" eb="3">
      <t>ケイサン</t>
    </rPh>
    <rPh sb="3" eb="5">
      <t>ケッカ</t>
    </rPh>
    <rPh sb="8" eb="10">
      <t>ホウテイ</t>
    </rPh>
    <rPh sb="10" eb="12">
      <t>ケイゲン</t>
    </rPh>
    <rPh sb="13" eb="14">
      <t>ヒ</t>
    </rPh>
    <rPh sb="14" eb="17">
      <t>ジハツテキ</t>
    </rPh>
    <rPh sb="17" eb="20">
      <t>シツギョウシャ</t>
    </rPh>
    <rPh sb="21" eb="22">
      <t>タイ</t>
    </rPh>
    <rPh sb="24" eb="26">
      <t>ケイゲン</t>
    </rPh>
    <rPh sb="27" eb="29">
      <t>ハンエイ</t>
    </rPh>
    <rPh sb="38" eb="40">
      <t>ケイゲン</t>
    </rPh>
    <rPh sb="41" eb="43">
      <t>ショウサイ</t>
    </rPh>
    <rPh sb="49" eb="50">
      <t>ト</t>
    </rPh>
    <rPh sb="51" eb="52">
      <t>ア</t>
    </rPh>
    <phoneticPr fontId="1"/>
  </si>
  <si>
    <t>黄色いセルに必要な情報を入力してください。</t>
    <rPh sb="0" eb="2">
      <t>キイロ</t>
    </rPh>
    <rPh sb="6" eb="8">
      <t>ヒツヨウ</t>
    </rPh>
    <rPh sb="9" eb="11">
      <t>ジョウホウ</t>
    </rPh>
    <rPh sb="12" eb="14">
      <t>ニュウリョク</t>
    </rPh>
    <phoneticPr fontId="1"/>
  </si>
  <si>
    <t>資産割は令和３年度より廃止となりました。</t>
    <rPh sb="0" eb="3">
      <t>シサンワリ</t>
    </rPh>
    <rPh sb="4" eb="6">
      <t>レイワ</t>
    </rPh>
    <rPh sb="7" eb="8">
      <t>ネン</t>
    </rPh>
    <rPh sb="8" eb="9">
      <t>ド</t>
    </rPh>
    <rPh sb="11" eb="13">
      <t>ハイシ</t>
    </rPh>
    <phoneticPr fontId="1"/>
  </si>
  <si>
    <t>仮</t>
  </si>
  <si>
    <t>令和7</t>
    <rPh sb="0" eb="2">
      <t>レイワ</t>
    </rPh>
    <phoneticPr fontId="1"/>
  </si>
  <si>
    <t>令和8</t>
    <rPh sb="0" eb="2">
      <t>レイワ</t>
    </rPh>
    <phoneticPr fontId="1"/>
  </si>
  <si>
    <t>子ども</t>
    <rPh sb="0" eb="1">
      <t>コ</t>
    </rPh>
    <phoneticPr fontId="1"/>
  </si>
  <si>
    <t>子ども資産割</t>
    <rPh sb="0" eb="1">
      <t>コ</t>
    </rPh>
    <rPh sb="3" eb="5">
      <t>シサン</t>
    </rPh>
    <rPh sb="5" eb="6">
      <t>ワリ</t>
    </rPh>
    <phoneticPr fontId="1"/>
  </si>
  <si>
    <t>子ども所得割</t>
    <rPh sb="0" eb="1">
      <t>コ</t>
    </rPh>
    <rPh sb="3" eb="5">
      <t>ショトク</t>
    </rPh>
    <rPh sb="5" eb="6">
      <t>ワリ</t>
    </rPh>
    <phoneticPr fontId="1"/>
  </si>
  <si>
    <t>子ども均等割</t>
    <rPh sb="0" eb="1">
      <t>コ</t>
    </rPh>
    <rPh sb="3" eb="6">
      <t>キントウワリ</t>
    </rPh>
    <phoneticPr fontId="1"/>
  </si>
  <si>
    <t>子ども限度額</t>
    <rPh sb="0" eb="1">
      <t>コ</t>
    </rPh>
    <rPh sb="3" eb="5">
      <t>ゲンド</t>
    </rPh>
    <rPh sb="5" eb="6">
      <t>ガク</t>
    </rPh>
    <phoneticPr fontId="1"/>
  </si>
  <si>
    <t>子ども</t>
    <rPh sb="0" eb="1">
      <t>コ</t>
    </rPh>
    <phoneticPr fontId="7"/>
  </si>
  <si>
    <t>所得割</t>
    <rPh sb="0" eb="2">
      <t>ショトク</t>
    </rPh>
    <rPh sb="2" eb="3">
      <t>ワリ</t>
    </rPh>
    <phoneticPr fontId="7"/>
  </si>
  <si>
    <t>資産割</t>
    <rPh sb="0" eb="2">
      <t>シサン</t>
    </rPh>
    <rPh sb="2" eb="3">
      <t>ワリ</t>
    </rPh>
    <phoneticPr fontId="7"/>
  </si>
  <si>
    <t>均等割</t>
    <rPh sb="0" eb="3">
      <t>キントウワリ</t>
    </rPh>
    <phoneticPr fontId="7"/>
  </si>
  <si>
    <t>子ども平等割</t>
    <rPh sb="0" eb="1">
      <t>コ</t>
    </rPh>
    <rPh sb="3" eb="5">
      <t>ビョウドウ</t>
    </rPh>
    <rPh sb="5" eb="6">
      <t>ワリ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</si>
</sst>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3"/>
      <charset val="128"/>
      <scheme val="minor"/>
    </font>
    <font>
      <sz val="6"/>
      <name val="ＭＳ Ｐゴシック"/>
      <family val="3"/>
      <charset val="128"/>
    </font>
    <font>
      <sz val="11"/>
      <color theme="0"/>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font>
    <font>
      <b/>
      <sz val="11"/>
      <color theme="1"/>
      <name val="ＭＳ Ｐゴシック"/>
      <family val="3"/>
      <charset val="128"/>
      <scheme val="minor"/>
    </font>
    <font>
      <b/>
      <u/>
      <sz val="11"/>
      <color rgb="FFFF0000"/>
      <name val="ＭＳ Ｐゴシック"/>
      <family val="3"/>
      <charset val="128"/>
      <scheme val="minor"/>
    </font>
    <font>
      <sz val="6"/>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0">
    <xf numFmtId="0" fontId="0" fillId="0" borderId="0" xfId="0">
      <alignment vertical="center"/>
    </xf>
    <xf numFmtId="49" fontId="0" fillId="0" borderId="0" xfId="0" applyNumberFormat="1" applyAlignment="1">
      <alignment horizontal="righ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0" fillId="2" borderId="1" xfId="0" applyFill="1" applyBorder="1" applyProtection="1">
      <alignment vertical="center"/>
      <protection locked="0"/>
    </xf>
    <xf numFmtId="176" fontId="0" fillId="2" borderId="1" xfId="0" applyNumberFormat="1" applyFill="1" applyBorder="1" applyProtection="1">
      <alignment vertical="center"/>
      <protection locked="0"/>
    </xf>
    <xf numFmtId="0" fontId="0" fillId="4" borderId="1" xfId="0" applyFill="1" applyBorder="1">
      <alignment vertical="center"/>
    </xf>
    <xf numFmtId="176" fontId="0" fillId="4" borderId="1" xfId="0" applyNumberFormat="1" applyFill="1" applyBorder="1">
      <alignment vertical="center"/>
    </xf>
    <xf numFmtId="0" fontId="6" fillId="0" borderId="0" xfId="0" applyFont="1">
      <alignment vertical="center"/>
    </xf>
    <xf numFmtId="0" fontId="0" fillId="5" borderId="1" xfId="0" applyFill="1" applyBorder="1">
      <alignment vertical="center"/>
    </xf>
    <xf numFmtId="176" fontId="0" fillId="5" borderId="4" xfId="0" applyNumberFormat="1" applyFill="1" applyBorder="1">
      <alignment vertical="center"/>
    </xf>
    <xf numFmtId="0" fontId="0" fillId="0" borderId="1" xfId="0" applyBorder="1">
      <alignment vertical="center"/>
    </xf>
    <xf numFmtId="0" fontId="0" fillId="3" borderId="1" xfId="0" applyFill="1" applyBorder="1">
      <alignment vertical="center"/>
    </xf>
    <xf numFmtId="0" fontId="3" fillId="0" borderId="0" xfId="0" applyFont="1">
      <alignment vertical="center"/>
    </xf>
    <xf numFmtId="0" fontId="0" fillId="0" borderId="2" xfId="0" applyBorder="1">
      <alignment vertical="center"/>
    </xf>
    <xf numFmtId="0" fontId="0" fillId="0" borderId="0" xfId="0">
      <alignment vertical="center"/>
    </xf>
    <xf numFmtId="0" fontId="0" fillId="0" borderId="0" xfId="0" applyProtection="1">
      <alignment vertical="center"/>
      <protection locked="0"/>
    </xf>
    <xf numFmtId="14" fontId="0" fillId="0" borderId="0" xfId="0" applyNumberFormat="1">
      <alignment vertical="center"/>
    </xf>
    <xf numFmtId="0" fontId="0" fillId="0" borderId="3" xfId="0"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2:M23"/>
  <sheetViews>
    <sheetView tabSelected="1" zoomScale="95" zoomScaleNormal="95" workbookViewId="0">
      <selection activeCell="E7" sqref="E7"/>
    </sheetView>
  </sheetViews>
  <sheetFormatPr defaultRowHeight="13.5" x14ac:dyDescent="0.15"/>
  <cols>
    <col min="1" max="1" width="2.625" customWidth="1"/>
    <col min="2" max="2" width="16.25" customWidth="1"/>
    <col min="3" max="4" width="13" bestFit="1" customWidth="1"/>
    <col min="6" max="6" width="3" customWidth="1"/>
    <col min="8" max="12" width="9.75" customWidth="1"/>
  </cols>
  <sheetData>
    <row r="2" spans="2:13" x14ac:dyDescent="0.15">
      <c r="B2" s="5" t="s">
        <v>57</v>
      </c>
      <c r="C2" s="15" t="s">
        <v>25</v>
      </c>
      <c r="D2" s="16"/>
      <c r="E2" s="16"/>
      <c r="F2" s="16"/>
      <c r="G2" s="14" t="str">
        <f>IF(LEN(B2)&gt;0,IF(ISERROR(VLOOKUP(B2,税率!A:P,1,FALSE)),"サポートされていない年度です。このファイルでは計算できません。",""),"年度を入力してください。")</f>
        <v/>
      </c>
      <c r="H2" s="14"/>
      <c r="I2" s="14"/>
      <c r="J2" s="14"/>
      <c r="K2" s="14"/>
      <c r="L2" s="14"/>
    </row>
    <row r="3" spans="2:13" x14ac:dyDescent="0.15">
      <c r="B3" s="17" t="s">
        <v>53</v>
      </c>
      <c r="C3" s="16"/>
      <c r="D3" s="16"/>
      <c r="E3" s="16"/>
      <c r="H3" s="1"/>
      <c r="J3" s="16"/>
      <c r="K3" s="16"/>
      <c r="L3" s="18"/>
      <c r="M3" s="16"/>
    </row>
    <row r="4" spans="2:13" x14ac:dyDescent="0.15">
      <c r="B4" s="9" t="s">
        <v>54</v>
      </c>
    </row>
    <row r="5" spans="2:13" x14ac:dyDescent="0.15">
      <c r="B5" t="s">
        <v>50</v>
      </c>
      <c r="C5" t="s">
        <v>44</v>
      </c>
      <c r="D5" t="s">
        <v>1</v>
      </c>
      <c r="E5" t="s">
        <v>2</v>
      </c>
      <c r="G5" t="s">
        <v>41</v>
      </c>
    </row>
    <row r="6" spans="2:13" x14ac:dyDescent="0.15">
      <c r="B6" s="5"/>
      <c r="C6" s="6"/>
      <c r="D6" s="11"/>
      <c r="E6" s="5"/>
      <c r="F6" s="2" t="b">
        <f>IF(AND(LEN(B6)&gt;0,LEN(E6)=0),TRUE,FALSE)</f>
        <v>0</v>
      </c>
      <c r="G6" s="7"/>
      <c r="H6" s="10" t="s">
        <v>5</v>
      </c>
      <c r="I6" s="7" t="s">
        <v>4</v>
      </c>
      <c r="J6" s="7" t="s">
        <v>6</v>
      </c>
      <c r="K6" s="7" t="s">
        <v>11</v>
      </c>
      <c r="L6" s="7" t="s">
        <v>17</v>
      </c>
    </row>
    <row r="7" spans="2:13" x14ac:dyDescent="0.15">
      <c r="B7" s="5"/>
      <c r="C7" s="6"/>
      <c r="D7" s="11"/>
      <c r="E7" s="5"/>
      <c r="F7" s="2" t="b">
        <f t="shared" ref="F7:F14" si="0">IF(AND(LEN(B7)&gt;0,LEN(E7)=0),TRUE,FALSE)</f>
        <v>0</v>
      </c>
      <c r="G7" s="7" t="s">
        <v>3</v>
      </c>
      <c r="H7" s="11"/>
      <c r="I7" s="8">
        <f>計算１!F11</f>
        <v>0</v>
      </c>
      <c r="J7" s="8">
        <f>計算１!H11</f>
        <v>0</v>
      </c>
      <c r="K7" s="8">
        <f>計算１!C14</f>
        <v>0</v>
      </c>
      <c r="L7" s="8">
        <f>計算１!M18</f>
        <v>0</v>
      </c>
    </row>
    <row r="8" spans="2:13" x14ac:dyDescent="0.15">
      <c r="B8" s="5"/>
      <c r="C8" s="6"/>
      <c r="D8" s="11"/>
      <c r="E8" s="5"/>
      <c r="F8" s="2" t="b">
        <f t="shared" si="0"/>
        <v>0</v>
      </c>
      <c r="G8" s="7" t="s">
        <v>7</v>
      </c>
      <c r="H8" s="11"/>
      <c r="I8" s="8">
        <f>計算１!I11</f>
        <v>0</v>
      </c>
      <c r="J8" s="8">
        <f>計算１!K11</f>
        <v>0</v>
      </c>
      <c r="K8" s="8">
        <f>計算１!D14</f>
        <v>0</v>
      </c>
      <c r="L8" s="8">
        <f>計算１!N18</f>
        <v>0</v>
      </c>
    </row>
    <row r="9" spans="2:13" x14ac:dyDescent="0.15">
      <c r="B9" s="5"/>
      <c r="C9" s="6"/>
      <c r="D9" s="11"/>
      <c r="E9" s="5"/>
      <c r="F9" s="2" t="b">
        <f t="shared" si="0"/>
        <v>0</v>
      </c>
      <c r="G9" s="7" t="s">
        <v>8</v>
      </c>
      <c r="H9" s="11"/>
      <c r="I9" s="8">
        <f>計算１!L11</f>
        <v>0</v>
      </c>
      <c r="J9" s="8">
        <f>計算１!N11</f>
        <v>0</v>
      </c>
      <c r="K9" s="8">
        <f>計算１!E14</f>
        <v>0</v>
      </c>
      <c r="L9" s="8">
        <f>計算１!O18</f>
        <v>0</v>
      </c>
    </row>
    <row r="10" spans="2:13" x14ac:dyDescent="0.15">
      <c r="B10" s="5"/>
      <c r="C10" s="6"/>
      <c r="D10" s="11"/>
      <c r="E10" s="5"/>
      <c r="F10" s="2"/>
      <c r="G10" s="7" t="s">
        <v>58</v>
      </c>
      <c r="H10" s="11"/>
      <c r="I10" s="8">
        <f>計算１!O11</f>
        <v>0</v>
      </c>
      <c r="J10" s="8">
        <f>計算１!R11</f>
        <v>0</v>
      </c>
      <c r="K10" s="11"/>
      <c r="L10" s="8">
        <f>SUM(I10:J10)</f>
        <v>0</v>
      </c>
    </row>
    <row r="11" spans="2:13" x14ac:dyDescent="0.15">
      <c r="B11" s="5"/>
      <c r="C11" s="6"/>
      <c r="D11" s="11"/>
      <c r="E11" s="5"/>
      <c r="F11" s="2" t="b">
        <f t="shared" si="0"/>
        <v>0</v>
      </c>
      <c r="G11" s="7" t="s">
        <v>17</v>
      </c>
      <c r="H11" s="11"/>
      <c r="I11" s="8">
        <f>SUM(I7:I10)</f>
        <v>0</v>
      </c>
      <c r="J11" s="8">
        <f>SUM(J7:J10)</f>
        <v>0</v>
      </c>
      <c r="K11" s="8">
        <f>SUM(K7:K9)</f>
        <v>0</v>
      </c>
      <c r="L11" s="8">
        <f>SUM(I11:K11)</f>
        <v>0</v>
      </c>
    </row>
    <row r="12" spans="2:13" x14ac:dyDescent="0.15">
      <c r="B12" s="5"/>
      <c r="C12" s="6"/>
      <c r="D12" s="11"/>
      <c r="E12" s="5"/>
      <c r="F12" s="2" t="b">
        <f t="shared" si="0"/>
        <v>0</v>
      </c>
      <c r="G12" s="4" t="s">
        <v>48</v>
      </c>
    </row>
    <row r="13" spans="2:13" x14ac:dyDescent="0.15">
      <c r="B13" s="5"/>
      <c r="C13" s="6"/>
      <c r="D13" s="11"/>
      <c r="E13" s="5"/>
      <c r="F13" s="2" t="b">
        <f t="shared" si="0"/>
        <v>0</v>
      </c>
      <c r="G13" s="3" t="str">
        <f>IF(OR(F6,F7,F8,F9,F11,F12,F13,F14),"※年齢を入力してください","")</f>
        <v/>
      </c>
    </row>
    <row r="14" spans="2:13" x14ac:dyDescent="0.15">
      <c r="B14" s="5"/>
      <c r="C14" s="6"/>
      <c r="D14" s="11"/>
      <c r="E14" s="5"/>
      <c r="F14" s="2" t="b">
        <f t="shared" si="0"/>
        <v>0</v>
      </c>
      <c r="G14" s="16" t="s">
        <v>19</v>
      </c>
      <c r="H14" s="16"/>
      <c r="I14" s="16"/>
      <c r="J14" s="16"/>
      <c r="K14" s="16"/>
      <c r="L14" s="16"/>
    </row>
    <row r="15" spans="2:13" x14ac:dyDescent="0.15">
      <c r="G15" s="16" t="s">
        <v>20</v>
      </c>
      <c r="H15" s="19"/>
      <c r="I15" s="8">
        <f>IF(AND(B17&gt;=1,B17&lt;=12),ROUNDDOWN(L11/B17,0),"")</f>
        <v>0</v>
      </c>
      <c r="J15" t="s">
        <v>21</v>
      </c>
    </row>
    <row r="16" spans="2:13" x14ac:dyDescent="0.15">
      <c r="B16" t="s">
        <v>16</v>
      </c>
      <c r="G16" s="16" t="s">
        <v>49</v>
      </c>
      <c r="H16" s="16"/>
      <c r="I16" s="16"/>
      <c r="J16" s="16"/>
      <c r="K16" s="16"/>
      <c r="L16" s="16"/>
      <c r="M16" s="16"/>
    </row>
    <row r="17" spans="2:12" x14ac:dyDescent="0.15">
      <c r="B17" s="5">
        <v>12</v>
      </c>
      <c r="C17" t="s">
        <v>18</v>
      </c>
    </row>
    <row r="19" spans="2:12" x14ac:dyDescent="0.15">
      <c r="B19" s="16" t="s">
        <v>42</v>
      </c>
      <c r="C19" s="16"/>
      <c r="D19" s="16"/>
      <c r="E19" s="16"/>
      <c r="F19" s="16"/>
      <c r="G19" s="16"/>
      <c r="H19" s="16"/>
      <c r="I19" s="16"/>
      <c r="J19" s="16"/>
      <c r="K19" s="16"/>
      <c r="L19" s="16"/>
    </row>
    <row r="20" spans="2:12" x14ac:dyDescent="0.15">
      <c r="B20" s="16" t="s">
        <v>46</v>
      </c>
      <c r="C20" s="16"/>
      <c r="D20" s="16"/>
      <c r="E20" s="16"/>
      <c r="F20" s="16"/>
      <c r="G20" s="16"/>
      <c r="H20" s="16"/>
      <c r="I20" s="16"/>
      <c r="J20" s="16"/>
      <c r="K20" s="16"/>
      <c r="L20" s="16"/>
    </row>
    <row r="21" spans="2:12" x14ac:dyDescent="0.15">
      <c r="B21" s="16" t="s">
        <v>52</v>
      </c>
      <c r="C21" s="16"/>
      <c r="D21" s="16"/>
      <c r="E21" s="16"/>
      <c r="F21" s="16"/>
      <c r="G21" s="16"/>
      <c r="H21" s="16"/>
      <c r="I21" s="16"/>
      <c r="J21" s="16"/>
      <c r="K21" s="16"/>
      <c r="L21" s="16"/>
    </row>
    <row r="22" spans="2:12" x14ac:dyDescent="0.15">
      <c r="B22" t="s">
        <v>45</v>
      </c>
    </row>
    <row r="23" spans="2:12" x14ac:dyDescent="0.15">
      <c r="B23" t="s">
        <v>47</v>
      </c>
    </row>
  </sheetData>
  <sheetProtection selectLockedCells="1"/>
  <mergeCells count="11">
    <mergeCell ref="B21:L21"/>
    <mergeCell ref="G16:M16"/>
    <mergeCell ref="G14:L14"/>
    <mergeCell ref="B19:L19"/>
    <mergeCell ref="B20:L20"/>
    <mergeCell ref="G15:H15"/>
    <mergeCell ref="G2:L2"/>
    <mergeCell ref="C2:F2"/>
    <mergeCell ref="B3:E3"/>
    <mergeCell ref="L3:M3"/>
    <mergeCell ref="J3:K3"/>
  </mergeCells>
  <phoneticPr fontId="1"/>
  <dataValidations count="3">
    <dataValidation type="whole" imeMode="off" operator="greaterThanOrEqual" allowBlank="1" showInputMessage="1" showErrorMessage="1" sqref="C6:E14" xr:uid="{00000000-0002-0000-0000-000000000000}">
      <formula1>0</formula1>
    </dataValidation>
    <dataValidation type="list" imeMode="off" allowBlank="1" showInputMessage="1" showErrorMessage="1" sqref="B17" xr:uid="{00000000-0002-0000-0000-000001000000}">
      <formula1>"1,2,3,4,5,6,7,8,9,10,11,12"</formula1>
    </dataValidation>
    <dataValidation imeMode="hiragana" allowBlank="1" showInputMessage="1" showErrorMessage="1" sqref="B6:B14" xr:uid="{00000000-0002-0000-0000-000002000000}"/>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imeMode="off" allowBlank="1" showInputMessage="1" showErrorMessage="1" xr:uid="{00000000-0002-0000-0000-000003000000}">
          <x14:formula1>
            <xm:f>税率!$A$2:$A$3</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6"/>
  <sheetViews>
    <sheetView topLeftCell="B1" workbookViewId="0">
      <selection activeCell="H18" sqref="H18"/>
    </sheetView>
  </sheetViews>
  <sheetFormatPr defaultRowHeight="13.5" x14ac:dyDescent="0.15"/>
  <cols>
    <col min="2" max="2" width="11" bestFit="1" customWidth="1"/>
    <col min="3" max="3" width="13" bestFit="1" customWidth="1"/>
    <col min="4" max="4" width="13" customWidth="1"/>
    <col min="6" max="6" width="10.5" bestFit="1" customWidth="1"/>
  </cols>
  <sheetData>
    <row r="1" spans="1:18" x14ac:dyDescent="0.15">
      <c r="G1" t="s">
        <v>3</v>
      </c>
      <c r="J1" t="s">
        <v>7</v>
      </c>
      <c r="M1" t="s">
        <v>8</v>
      </c>
      <c r="P1" t="s">
        <v>63</v>
      </c>
    </row>
    <row r="2" spans="1:18" x14ac:dyDescent="0.15">
      <c r="A2" t="s">
        <v>0</v>
      </c>
      <c r="B2" t="s">
        <v>23</v>
      </c>
      <c r="C2" t="s">
        <v>22</v>
      </c>
      <c r="D2" t="s">
        <v>1</v>
      </c>
      <c r="E2" t="s">
        <v>9</v>
      </c>
      <c r="F2" t="s">
        <v>10</v>
      </c>
      <c r="G2" t="s">
        <v>4</v>
      </c>
      <c r="H2" t="s">
        <v>5</v>
      </c>
      <c r="I2" t="s">
        <v>6</v>
      </c>
      <c r="J2" t="s">
        <v>4</v>
      </c>
      <c r="K2" t="s">
        <v>5</v>
      </c>
      <c r="L2" t="s">
        <v>6</v>
      </c>
      <c r="M2" t="s">
        <v>4</v>
      </c>
      <c r="N2" t="s">
        <v>5</v>
      </c>
      <c r="O2" t="s">
        <v>6</v>
      </c>
      <c r="P2" t="s">
        <v>64</v>
      </c>
      <c r="Q2" t="s">
        <v>65</v>
      </c>
      <c r="R2" t="s">
        <v>66</v>
      </c>
    </row>
    <row r="3" spans="1:18" x14ac:dyDescent="0.15">
      <c r="A3">
        <f>入力!B6</f>
        <v>0</v>
      </c>
      <c r="B3">
        <f>入力!C6</f>
        <v>0</v>
      </c>
      <c r="C3">
        <f t="shared" ref="C3:C10" si="0">MAX(B3-430000,0)</f>
        <v>0</v>
      </c>
      <c r="D3">
        <f>入力!D6</f>
        <v>0</v>
      </c>
      <c r="E3">
        <f>IF(入力!E6="",0,IF(入力!E6&lt;75,入力!B$17,0))</f>
        <v>0</v>
      </c>
      <c r="F3">
        <f>IF(AND(入力!E6&gt;=40,入力!E6&lt;=64),計算１!E3,0)</f>
        <v>0</v>
      </c>
      <c r="G3">
        <f>ROUNDDOWN(C3*$C$23*計算１!E3/12,0)</f>
        <v>0</v>
      </c>
      <c r="H3">
        <f>ROUNDDOWN(D3*$B$23*計算１!E3/12,0)</f>
        <v>0</v>
      </c>
      <c r="I3">
        <f t="shared" ref="I3:I10" si="1">ROUNDDOWN(E3*$D$23/12,0)</f>
        <v>0</v>
      </c>
      <c r="J3">
        <f>ROUNDDOWN(C3*$C$24*計算１!E3/12,0)</f>
        <v>0</v>
      </c>
      <c r="K3">
        <f>ROUNDDOWN(D3*$B$24*計算１!E3/12,0)</f>
        <v>0</v>
      </c>
      <c r="L3">
        <f t="shared" ref="L3:L10" si="2">ROUNDDOWN(E3*$D$24/12,0)</f>
        <v>0</v>
      </c>
      <c r="M3">
        <f t="shared" ref="M3:M10" si="3">ROUNDDOWN(C3*$C$25*F3/12,0)</f>
        <v>0</v>
      </c>
      <c r="N3">
        <f>ROUNDDOWN(D3*$B$25*計算１!F3/12,0)</f>
        <v>0</v>
      </c>
      <c r="O3">
        <f t="shared" ref="O3:O10" si="4">ROUNDDOWN(F3*$D$25/12,0)</f>
        <v>0</v>
      </c>
      <c r="P3">
        <f t="shared" ref="P3:P10" si="5">ROUNDDOWN(F3*$C$25*I3/12,0)</f>
        <v>0</v>
      </c>
      <c r="Q3">
        <f>ROUNDDOWN(G3*$B$25*計算１!I3/12,0)</f>
        <v>0</v>
      </c>
      <c r="R3">
        <f>ROUNDDOWN(E3*$D$26/12,0)</f>
        <v>0</v>
      </c>
    </row>
    <row r="4" spans="1:18" x14ac:dyDescent="0.15">
      <c r="A4">
        <f>入力!B7</f>
        <v>0</v>
      </c>
      <c r="B4">
        <f>入力!C7</f>
        <v>0</v>
      </c>
      <c r="C4">
        <f t="shared" si="0"/>
        <v>0</v>
      </c>
      <c r="D4">
        <f>入力!D7</f>
        <v>0</v>
      </c>
      <c r="E4">
        <f>IF(入力!E7="",0,IF(入力!E7&lt;75,入力!B$17,0))</f>
        <v>0</v>
      </c>
      <c r="F4">
        <f>IF(AND(入力!E7&gt;=40,入力!E7&lt;=64),計算１!E4,0)</f>
        <v>0</v>
      </c>
      <c r="G4">
        <f>ROUNDDOWN(C4*$C$23*計算１!E4/12,0)</f>
        <v>0</v>
      </c>
      <c r="H4">
        <f>ROUNDDOWN(D4*$B$23*計算１!E4/12,0)</f>
        <v>0</v>
      </c>
      <c r="I4">
        <f t="shared" si="1"/>
        <v>0</v>
      </c>
      <c r="J4">
        <f>ROUNDDOWN(C4*$C$24*計算１!E4/12,0)</f>
        <v>0</v>
      </c>
      <c r="K4">
        <f>ROUNDDOWN(D4*$B$24*計算１!E4/12,0)</f>
        <v>0</v>
      </c>
      <c r="L4">
        <f t="shared" si="2"/>
        <v>0</v>
      </c>
      <c r="M4">
        <f>ROUNDDOWN(C4*$C$25*F4/12,0)</f>
        <v>0</v>
      </c>
      <c r="N4">
        <f>ROUNDDOWN(D4*$B$25*計算１!F4/12,0)</f>
        <v>0</v>
      </c>
      <c r="O4">
        <f t="shared" si="4"/>
        <v>0</v>
      </c>
      <c r="P4">
        <f>ROUNDDOWN(F4*$C$26*C4/12,0)</f>
        <v>0</v>
      </c>
      <c r="Q4">
        <f>ROUNDDOWN(G4*$B$25*計算１!I4/12,0)</f>
        <v>0</v>
      </c>
      <c r="R4">
        <f>ROUNDDOWN(E4*$D$26/12,0)</f>
        <v>0</v>
      </c>
    </row>
    <row r="5" spans="1:18" x14ac:dyDescent="0.15">
      <c r="A5">
        <f>入力!B8</f>
        <v>0</v>
      </c>
      <c r="B5">
        <f>入力!C8</f>
        <v>0</v>
      </c>
      <c r="C5">
        <f t="shared" si="0"/>
        <v>0</v>
      </c>
      <c r="D5">
        <f>入力!D8</f>
        <v>0</v>
      </c>
      <c r="E5">
        <f>IF(入力!E8="",0,IF(入力!E8&lt;75,入力!B$17,0))</f>
        <v>0</v>
      </c>
      <c r="F5">
        <f>IF(AND(入力!E8&gt;=40,入力!E8&lt;=64),計算１!E5,0)</f>
        <v>0</v>
      </c>
      <c r="G5">
        <f>ROUNDDOWN(C5*$C$23*計算１!E5/12,0)</f>
        <v>0</v>
      </c>
      <c r="H5">
        <f>ROUNDDOWN(D5*$B$23*計算１!E5/12,0)</f>
        <v>0</v>
      </c>
      <c r="I5">
        <f t="shared" si="1"/>
        <v>0</v>
      </c>
      <c r="J5">
        <f>ROUNDDOWN(C5*$C$24*計算１!E5/12,0)</f>
        <v>0</v>
      </c>
      <c r="K5">
        <f>ROUNDDOWN(D5*$B$24*計算１!E5/12,0)</f>
        <v>0</v>
      </c>
      <c r="L5">
        <f t="shared" si="2"/>
        <v>0</v>
      </c>
      <c r="M5">
        <f t="shared" si="3"/>
        <v>0</v>
      </c>
      <c r="N5">
        <f>ROUNDDOWN(D5*$B$25*計算１!F5/12,0)</f>
        <v>0</v>
      </c>
      <c r="O5">
        <f t="shared" si="4"/>
        <v>0</v>
      </c>
      <c r="P5">
        <f t="shared" si="5"/>
        <v>0</v>
      </c>
      <c r="Q5">
        <f>ROUNDDOWN(G5*$B$25*計算１!I5/12,0)</f>
        <v>0</v>
      </c>
      <c r="R5">
        <f t="shared" ref="R5:R10" si="6">ROUNDDOWN(E5*$D$26/12,0)</f>
        <v>0</v>
      </c>
    </row>
    <row r="6" spans="1:18" x14ac:dyDescent="0.15">
      <c r="A6">
        <f>入力!B9</f>
        <v>0</v>
      </c>
      <c r="B6">
        <f>入力!C9</f>
        <v>0</v>
      </c>
      <c r="C6">
        <f t="shared" si="0"/>
        <v>0</v>
      </c>
      <c r="D6">
        <f>入力!D9</f>
        <v>0</v>
      </c>
      <c r="E6">
        <f>IF(入力!E9="",0,IF(入力!E9&lt;75,入力!B$17,0))</f>
        <v>0</v>
      </c>
      <c r="F6">
        <f>IF(AND(入力!E9&gt;=40,入力!E9&lt;=64),計算１!E6,0)</f>
        <v>0</v>
      </c>
      <c r="G6">
        <f>ROUNDDOWN(C6*$C$23*計算１!E6/12,0)</f>
        <v>0</v>
      </c>
      <c r="H6">
        <f>ROUNDDOWN(D6*$B$23*計算１!E6/12,0)</f>
        <v>0</v>
      </c>
      <c r="I6">
        <f t="shared" si="1"/>
        <v>0</v>
      </c>
      <c r="J6">
        <f>ROUNDDOWN(C6*$C$24*計算１!E6/12,0)</f>
        <v>0</v>
      </c>
      <c r="K6">
        <f>ROUNDDOWN(D6*$B$24*計算１!E6/12,0)</f>
        <v>0</v>
      </c>
      <c r="L6">
        <f t="shared" si="2"/>
        <v>0</v>
      </c>
      <c r="M6">
        <f t="shared" si="3"/>
        <v>0</v>
      </c>
      <c r="N6">
        <f>ROUNDDOWN(D6*$B$25*計算１!F6/12,0)</f>
        <v>0</v>
      </c>
      <c r="O6">
        <f t="shared" si="4"/>
        <v>0</v>
      </c>
      <c r="P6">
        <f t="shared" si="5"/>
        <v>0</v>
      </c>
      <c r="Q6">
        <f>ROUNDDOWN(G6*$B$25*計算１!I6/12,0)</f>
        <v>0</v>
      </c>
      <c r="R6">
        <f t="shared" si="6"/>
        <v>0</v>
      </c>
    </row>
    <row r="7" spans="1:18" x14ac:dyDescent="0.15">
      <c r="A7">
        <f>入力!B11</f>
        <v>0</v>
      </c>
      <c r="B7">
        <f>入力!C11</f>
        <v>0</v>
      </c>
      <c r="C7">
        <f t="shared" si="0"/>
        <v>0</v>
      </c>
      <c r="D7">
        <f>入力!D11</f>
        <v>0</v>
      </c>
      <c r="E7">
        <f>IF(入力!E11="",0,IF(入力!E11&lt;75,入力!B$17,0))</f>
        <v>0</v>
      </c>
      <c r="F7">
        <f>IF(AND(入力!E11&gt;=40,入力!E11&lt;=64),計算１!E7,0)</f>
        <v>0</v>
      </c>
      <c r="G7">
        <f>ROUNDDOWN(C7*$C$23*計算１!E7/12,0)</f>
        <v>0</v>
      </c>
      <c r="H7">
        <f>ROUNDDOWN(D7*$B$23*計算１!E7/12,0)</f>
        <v>0</v>
      </c>
      <c r="I7">
        <f t="shared" si="1"/>
        <v>0</v>
      </c>
      <c r="J7">
        <f>ROUNDDOWN(C7*$C$24*計算１!E7/12,0)</f>
        <v>0</v>
      </c>
      <c r="K7">
        <f>ROUNDDOWN(D7*$B$24*計算１!E7/12,0)</f>
        <v>0</v>
      </c>
      <c r="L7">
        <f t="shared" si="2"/>
        <v>0</v>
      </c>
      <c r="M7">
        <f t="shared" si="3"/>
        <v>0</v>
      </c>
      <c r="N7">
        <f>ROUNDDOWN(D7*$B$25*計算１!F7/12,0)</f>
        <v>0</v>
      </c>
      <c r="O7">
        <f t="shared" si="4"/>
        <v>0</v>
      </c>
      <c r="P7">
        <f t="shared" si="5"/>
        <v>0</v>
      </c>
      <c r="Q7">
        <f>ROUNDDOWN(G7*$B$25*計算１!I7/12,0)</f>
        <v>0</v>
      </c>
      <c r="R7">
        <f t="shared" si="6"/>
        <v>0</v>
      </c>
    </row>
    <row r="8" spans="1:18" x14ac:dyDescent="0.15">
      <c r="A8">
        <f>入力!B12</f>
        <v>0</v>
      </c>
      <c r="B8">
        <f>入力!C12</f>
        <v>0</v>
      </c>
      <c r="C8">
        <f t="shared" si="0"/>
        <v>0</v>
      </c>
      <c r="D8">
        <f>入力!D12</f>
        <v>0</v>
      </c>
      <c r="E8">
        <f>IF(入力!E12="",0,IF(入力!E12&lt;75,入力!B$17,0))</f>
        <v>0</v>
      </c>
      <c r="F8">
        <f>IF(AND(入力!E12&gt;=40,入力!E12&lt;=64),計算１!E8,0)</f>
        <v>0</v>
      </c>
      <c r="G8">
        <f>ROUNDDOWN(C8*$C$23*計算１!E8/12,0)</f>
        <v>0</v>
      </c>
      <c r="H8">
        <f>ROUNDDOWN(D8*$B$23*計算１!E8/12,0)</f>
        <v>0</v>
      </c>
      <c r="I8">
        <f t="shared" si="1"/>
        <v>0</v>
      </c>
      <c r="J8">
        <f>ROUNDDOWN(C8*$C$24*計算１!E8/12,0)</f>
        <v>0</v>
      </c>
      <c r="K8">
        <f>ROUNDDOWN(D8*$B$24*計算１!E8/12,0)</f>
        <v>0</v>
      </c>
      <c r="L8">
        <f t="shared" si="2"/>
        <v>0</v>
      </c>
      <c r="M8">
        <f t="shared" si="3"/>
        <v>0</v>
      </c>
      <c r="N8">
        <f>ROUNDDOWN(D8*$B$25*計算１!F8/12,0)</f>
        <v>0</v>
      </c>
      <c r="O8">
        <f t="shared" si="4"/>
        <v>0</v>
      </c>
      <c r="P8">
        <f t="shared" si="5"/>
        <v>0</v>
      </c>
      <c r="Q8">
        <f>ROUNDDOWN(G8*$B$25*計算１!I8/12,0)</f>
        <v>0</v>
      </c>
      <c r="R8">
        <f t="shared" si="6"/>
        <v>0</v>
      </c>
    </row>
    <row r="9" spans="1:18" x14ac:dyDescent="0.15">
      <c r="A9">
        <f>入力!B13</f>
        <v>0</v>
      </c>
      <c r="B9">
        <f>入力!C13</f>
        <v>0</v>
      </c>
      <c r="C9">
        <f t="shared" si="0"/>
        <v>0</v>
      </c>
      <c r="D9">
        <f>入力!D13</f>
        <v>0</v>
      </c>
      <c r="E9">
        <f>IF(入力!E13="",0,IF(入力!E13&lt;75,入力!B$17,0))</f>
        <v>0</v>
      </c>
      <c r="F9">
        <f>IF(AND(入力!E13&gt;=40,入力!E13&lt;=64),計算１!E9,0)</f>
        <v>0</v>
      </c>
      <c r="G9">
        <f>ROUNDDOWN(C9*$C$23*計算１!E9/12,0)</f>
        <v>0</v>
      </c>
      <c r="H9">
        <f>ROUNDDOWN(D9*$B$23*計算１!E9/12,0)</f>
        <v>0</v>
      </c>
      <c r="I9">
        <f t="shared" si="1"/>
        <v>0</v>
      </c>
      <c r="J9">
        <f>ROUNDDOWN(C9*$C$24*計算１!E9/12,0)</f>
        <v>0</v>
      </c>
      <c r="K9">
        <f>ROUNDDOWN(D9*$B$24*計算１!E9/12,0)</f>
        <v>0</v>
      </c>
      <c r="L9">
        <f t="shared" si="2"/>
        <v>0</v>
      </c>
      <c r="M9">
        <f t="shared" si="3"/>
        <v>0</v>
      </c>
      <c r="N9">
        <f>ROUNDDOWN(D9*$B$25*計算１!F9/12,0)</f>
        <v>0</v>
      </c>
      <c r="O9">
        <f t="shared" si="4"/>
        <v>0</v>
      </c>
      <c r="P9">
        <f t="shared" si="5"/>
        <v>0</v>
      </c>
      <c r="Q9">
        <f>ROUNDDOWN(G9*$B$25*計算１!I9/12,0)</f>
        <v>0</v>
      </c>
      <c r="R9">
        <f t="shared" si="6"/>
        <v>0</v>
      </c>
    </row>
    <row r="10" spans="1:18" x14ac:dyDescent="0.15">
      <c r="A10">
        <f>入力!B14</f>
        <v>0</v>
      </c>
      <c r="B10">
        <f>入力!C14</f>
        <v>0</v>
      </c>
      <c r="C10">
        <f t="shared" si="0"/>
        <v>0</v>
      </c>
      <c r="D10">
        <f>入力!D14</f>
        <v>0</v>
      </c>
      <c r="E10">
        <f>IF(入力!E14="",0,IF(入力!E14&lt;75,入力!B$17,0))</f>
        <v>0</v>
      </c>
      <c r="F10">
        <f>IF(AND(入力!E14&gt;=40,入力!E14&lt;=64),計算１!E10,0)</f>
        <v>0</v>
      </c>
      <c r="G10">
        <f>ROUNDDOWN(C10*$C$23*計算１!E10/12,0)</f>
        <v>0</v>
      </c>
      <c r="H10">
        <f>ROUNDDOWN(D10*$B$23*計算１!E10/12,0)</f>
        <v>0</v>
      </c>
      <c r="I10">
        <f t="shared" si="1"/>
        <v>0</v>
      </c>
      <c r="J10">
        <f>ROUNDDOWN(C10*$C$24*計算１!E10/12,0)</f>
        <v>0</v>
      </c>
      <c r="K10">
        <f>ROUNDDOWN(D10*$B$24*計算１!E10/12,0)</f>
        <v>0</v>
      </c>
      <c r="L10">
        <f t="shared" si="2"/>
        <v>0</v>
      </c>
      <c r="M10">
        <f t="shared" si="3"/>
        <v>0</v>
      </c>
      <c r="N10">
        <f>ROUNDDOWN(D10*$B$25*計算１!F10/12,0)</f>
        <v>0</v>
      </c>
      <c r="O10">
        <f t="shared" si="4"/>
        <v>0</v>
      </c>
      <c r="P10">
        <f t="shared" si="5"/>
        <v>0</v>
      </c>
      <c r="Q10">
        <f>ROUNDDOWN(G10*$B$25*計算１!I10/12,0)</f>
        <v>0</v>
      </c>
      <c r="R10">
        <f t="shared" si="6"/>
        <v>0</v>
      </c>
    </row>
    <row r="11" spans="1:18" x14ac:dyDescent="0.15">
      <c r="F11">
        <f>SUM(G3:G10)</f>
        <v>0</v>
      </c>
      <c r="G11">
        <f t="shared" ref="G11:N11" si="7">SUM(H3:H10)</f>
        <v>0</v>
      </c>
      <c r="H11">
        <f t="shared" si="7"/>
        <v>0</v>
      </c>
      <c r="I11">
        <f t="shared" si="7"/>
        <v>0</v>
      </c>
      <c r="J11">
        <f t="shared" si="7"/>
        <v>0</v>
      </c>
      <c r="K11">
        <f t="shared" si="7"/>
        <v>0</v>
      </c>
      <c r="L11">
        <f t="shared" si="7"/>
        <v>0</v>
      </c>
      <c r="M11">
        <f t="shared" si="7"/>
        <v>0</v>
      </c>
      <c r="N11">
        <f t="shared" si="7"/>
        <v>0</v>
      </c>
      <c r="O11">
        <f t="shared" ref="O11:P11" si="8">SUM(P3:P10)</f>
        <v>0</v>
      </c>
      <c r="P11">
        <f t="shared" si="8"/>
        <v>0</v>
      </c>
      <c r="Q11">
        <f t="shared" ref="Q11" si="9">SUM(R3:R10)</f>
        <v>0</v>
      </c>
      <c r="R11">
        <f>SUM(R3:R10)</f>
        <v>0</v>
      </c>
    </row>
    <row r="12" spans="1:18" x14ac:dyDescent="0.15">
      <c r="A12" t="s">
        <v>11</v>
      </c>
    </row>
    <row r="13" spans="1:18" x14ac:dyDescent="0.15">
      <c r="A13" t="s">
        <v>9</v>
      </c>
      <c r="B13" t="s">
        <v>10</v>
      </c>
      <c r="C13" t="s">
        <v>3</v>
      </c>
      <c r="D13" t="s">
        <v>7</v>
      </c>
      <c r="E13" t="s">
        <v>8</v>
      </c>
    </row>
    <row r="14" spans="1:18" x14ac:dyDescent="0.15">
      <c r="A14">
        <f>MAX(E3:E10)</f>
        <v>0</v>
      </c>
      <c r="B14">
        <f>MAX(F3:F10)</f>
        <v>0</v>
      </c>
      <c r="C14">
        <f>ROUNDDOWN(A14*E23/12,0)</f>
        <v>0</v>
      </c>
      <c r="D14">
        <f>ROUNDDOWN(A14*E24/12,0)</f>
        <v>0</v>
      </c>
      <c r="E14">
        <f>ROUNDDOWN(B14*E25/12,0)</f>
        <v>0</v>
      </c>
    </row>
    <row r="16" spans="1:18" x14ac:dyDescent="0.15">
      <c r="A16" t="s">
        <v>13</v>
      </c>
      <c r="E16" t="s">
        <v>12</v>
      </c>
      <c r="I16" t="s">
        <v>14</v>
      </c>
      <c r="M16" t="s">
        <v>15</v>
      </c>
    </row>
    <row r="17" spans="1:16" x14ac:dyDescent="0.15">
      <c r="A17" t="s">
        <v>3</v>
      </c>
      <c r="B17" t="s">
        <v>7</v>
      </c>
      <c r="C17" t="s">
        <v>8</v>
      </c>
      <c r="D17" t="s">
        <v>63</v>
      </c>
      <c r="E17" t="s">
        <v>3</v>
      </c>
      <c r="F17" t="s">
        <v>7</v>
      </c>
      <c r="G17" t="s">
        <v>8</v>
      </c>
      <c r="H17" t="s">
        <v>63</v>
      </c>
      <c r="I17" t="s">
        <v>3</v>
      </c>
      <c r="J17" t="s">
        <v>7</v>
      </c>
      <c r="K17" t="s">
        <v>8</v>
      </c>
      <c r="L17" t="s">
        <v>63</v>
      </c>
      <c r="M17" t="s">
        <v>3</v>
      </c>
      <c r="N17" t="s">
        <v>7</v>
      </c>
      <c r="O17" t="s">
        <v>8</v>
      </c>
      <c r="P17" t="s">
        <v>63</v>
      </c>
    </row>
    <row r="18" spans="1:16" x14ac:dyDescent="0.15">
      <c r="A18">
        <f>SUM(G3:I10)+C14</f>
        <v>0</v>
      </c>
      <c r="B18">
        <f>SUM(J3:L10)+D14</f>
        <v>0</v>
      </c>
      <c r="C18">
        <f>SUM(M3:O10)+E14</f>
        <v>0</v>
      </c>
      <c r="D18">
        <f>SUM(P3:R10)+F14</f>
        <v>0</v>
      </c>
      <c r="E18">
        <f>ROUNDDOWN(A14*F23/12,0)</f>
        <v>0</v>
      </c>
      <c r="F18">
        <f>ROUNDDOWN(A14*F24/12,0)</f>
        <v>0</v>
      </c>
      <c r="G18">
        <f>ROUNDDOWN(B14*F25/12,0)</f>
        <v>0</v>
      </c>
      <c r="H18">
        <f>ROUNDDOWN(B14*F26/12,0)</f>
        <v>0</v>
      </c>
      <c r="I18">
        <f>MIN(A18,E18)</f>
        <v>0</v>
      </c>
      <c r="J18">
        <f>MIN(B18,F18)</f>
        <v>0</v>
      </c>
      <c r="K18">
        <f>MIN(C18,G18)</f>
        <v>0</v>
      </c>
      <c r="L18">
        <f>MIN(D18,H18)</f>
        <v>0</v>
      </c>
      <c r="M18">
        <f>ROUNDDOWN(I18,-2)</f>
        <v>0</v>
      </c>
      <c r="N18">
        <f>ROUNDDOWN(J18,-2)</f>
        <v>0</v>
      </c>
      <c r="O18">
        <f>ROUNDDOWN(K18,-2)</f>
        <v>0</v>
      </c>
      <c r="P18">
        <f>ROUNDDOWN(L18,-2)</f>
        <v>0</v>
      </c>
    </row>
    <row r="21" spans="1:16" x14ac:dyDescent="0.15">
      <c r="A21" t="s">
        <v>24</v>
      </c>
    </row>
    <row r="22" spans="1:16" x14ac:dyDescent="0.15">
      <c r="B22" t="s">
        <v>5</v>
      </c>
      <c r="C22" t="s">
        <v>4</v>
      </c>
      <c r="D22" t="s">
        <v>6</v>
      </c>
      <c r="E22" t="s">
        <v>11</v>
      </c>
      <c r="F22" t="s">
        <v>12</v>
      </c>
    </row>
    <row r="23" spans="1:16" x14ac:dyDescent="0.15">
      <c r="A23" t="s">
        <v>3</v>
      </c>
      <c r="B23">
        <f>VLOOKUP(入力!$B$2,税率!$A:$P,2,FALSE)</f>
        <v>0</v>
      </c>
      <c r="C23">
        <f>VLOOKUP(入力!$B$2,税率!$A:$P,3,FALSE)</f>
        <v>5.8200000000000002E-2</v>
      </c>
      <c r="D23">
        <f>VLOOKUP(入力!$B$2,税率!$A:$P,4,FALSE)</f>
        <v>25000</v>
      </c>
      <c r="E23">
        <f>VLOOKUP(入力!$B$2,税率!$A:$P,5,FALSE)</f>
        <v>25000</v>
      </c>
      <c r="F23">
        <f>VLOOKUP(入力!$B$2,税率!$A:$P,6,FALSE)</f>
        <v>670000</v>
      </c>
    </row>
    <row r="24" spans="1:16" x14ac:dyDescent="0.15">
      <c r="A24" t="s">
        <v>7</v>
      </c>
      <c r="B24">
        <f>VLOOKUP(入力!$B$2,税率!$A:$P,7,FALSE)</f>
        <v>0</v>
      </c>
      <c r="C24">
        <f>VLOOKUP(入力!$B$2,税率!$A:$P,8,FALSE)</f>
        <v>1.3899999999999999E-2</v>
      </c>
      <c r="D24">
        <f>VLOOKUP(入力!$B$2,税率!$A:$P,9,FALSE)</f>
        <v>6600</v>
      </c>
      <c r="E24">
        <f>VLOOKUP(入力!$B$2,税率!$A:$P,10,FALSE)</f>
        <v>6000</v>
      </c>
      <c r="F24">
        <f>VLOOKUP(入力!$B$2,税率!$A:$P,11,FALSE)</f>
        <v>260000</v>
      </c>
    </row>
    <row r="25" spans="1:16" x14ac:dyDescent="0.15">
      <c r="A25" t="s">
        <v>8</v>
      </c>
      <c r="B25">
        <f>VLOOKUP(入力!$B$2,税率!$A:$P,12,FALSE)</f>
        <v>0</v>
      </c>
      <c r="C25">
        <f>VLOOKUP(入力!$B$2,税率!$A:$P,13,FALSE)</f>
        <v>1.7399999999999999E-2</v>
      </c>
      <c r="D25">
        <f>VLOOKUP(入力!$B$2,税率!$A:$P,14,FALSE)</f>
        <v>9100</v>
      </c>
      <c r="E25">
        <f>VLOOKUP(入力!$B$2,税率!$A:$P,15,FALSE)</f>
        <v>7000</v>
      </c>
      <c r="F25">
        <f>VLOOKUP(入力!$B$2,税率!$A:$P,16,FALSE)</f>
        <v>170000</v>
      </c>
    </row>
    <row r="26" spans="1:16" x14ac:dyDescent="0.15">
      <c r="A26" t="s">
        <v>63</v>
      </c>
      <c r="B26">
        <f>VLOOKUP(入力!$B$2,税率!$A:$U,17,FALSE)</f>
        <v>0</v>
      </c>
      <c r="C26">
        <f>VLOOKUP(入力!$B$2,税率!$A:$U,18,FALSE)</f>
        <v>2.5000000000000001E-3</v>
      </c>
      <c r="D26">
        <f>VLOOKUP(入力!$B$2,税率!$A:$U,19,FALSE)</f>
        <v>1869</v>
      </c>
      <c r="E26">
        <f>VLOOKUP(入力!$B$2,税率!$A:$U,20,FALSE)</f>
        <v>0</v>
      </c>
      <c r="F26">
        <f>VLOOKUP(入力!$B$2,税率!$A:$U,21,FALSE)</f>
        <v>30000</v>
      </c>
    </row>
  </sheetData>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V3"/>
  <sheetViews>
    <sheetView topLeftCell="C1" zoomScale="95" workbookViewId="0">
      <selection activeCell="F22" sqref="F22"/>
    </sheetView>
  </sheetViews>
  <sheetFormatPr defaultRowHeight="13.5" x14ac:dyDescent="0.15"/>
  <sheetData>
    <row r="1" spans="1:22" x14ac:dyDescent="0.15">
      <c r="A1" s="12"/>
      <c r="B1" s="12" t="s">
        <v>26</v>
      </c>
      <c r="C1" s="12" t="s">
        <v>27</v>
      </c>
      <c r="D1" s="12" t="s">
        <v>28</v>
      </c>
      <c r="E1" s="12" t="s">
        <v>29</v>
      </c>
      <c r="F1" s="12" t="s">
        <v>30</v>
      </c>
      <c r="G1" s="12" t="s">
        <v>31</v>
      </c>
      <c r="H1" s="12" t="s">
        <v>32</v>
      </c>
      <c r="I1" s="12" t="s">
        <v>33</v>
      </c>
      <c r="J1" s="12" t="s">
        <v>34</v>
      </c>
      <c r="K1" s="12" t="s">
        <v>35</v>
      </c>
      <c r="L1" s="12" t="s">
        <v>36</v>
      </c>
      <c r="M1" s="12" t="s">
        <v>37</v>
      </c>
      <c r="N1" s="12" t="s">
        <v>38</v>
      </c>
      <c r="O1" s="12" t="s">
        <v>39</v>
      </c>
      <c r="P1" s="12" t="s">
        <v>40</v>
      </c>
      <c r="Q1" s="12" t="s">
        <v>59</v>
      </c>
      <c r="R1" s="12" t="s">
        <v>60</v>
      </c>
      <c r="S1" s="12" t="s">
        <v>61</v>
      </c>
      <c r="T1" s="12" t="s">
        <v>67</v>
      </c>
      <c r="U1" s="12" t="s">
        <v>62</v>
      </c>
      <c r="V1" s="12" t="s">
        <v>43</v>
      </c>
    </row>
    <row r="2" spans="1:22" x14ac:dyDescent="0.15">
      <c r="A2" s="13" t="s">
        <v>56</v>
      </c>
      <c r="B2" s="13">
        <v>0</v>
      </c>
      <c r="C2" s="12">
        <v>5.8200000000000002E-2</v>
      </c>
      <c r="D2" s="12">
        <v>25000</v>
      </c>
      <c r="E2" s="12">
        <v>25000</v>
      </c>
      <c r="F2" s="12">
        <v>660000</v>
      </c>
      <c r="G2" s="13">
        <v>0</v>
      </c>
      <c r="H2" s="12">
        <v>1.3899999999999999E-2</v>
      </c>
      <c r="I2" s="12">
        <v>6600</v>
      </c>
      <c r="J2" s="12">
        <v>6000</v>
      </c>
      <c r="K2" s="12">
        <v>260000</v>
      </c>
      <c r="L2" s="13">
        <v>0</v>
      </c>
      <c r="M2" s="12">
        <v>1.7399999999999999E-2</v>
      </c>
      <c r="N2" s="12">
        <v>9100</v>
      </c>
      <c r="O2" s="12">
        <v>7000</v>
      </c>
      <c r="P2" s="12">
        <v>170000</v>
      </c>
      <c r="Q2" s="12">
        <v>0</v>
      </c>
      <c r="R2" s="12">
        <v>0</v>
      </c>
      <c r="S2" s="12">
        <v>0</v>
      </c>
      <c r="T2" s="12">
        <v>0</v>
      </c>
      <c r="U2" s="12">
        <v>0</v>
      </c>
      <c r="V2" s="13" t="s">
        <v>55</v>
      </c>
    </row>
    <row r="3" spans="1:22" x14ac:dyDescent="0.15">
      <c r="A3" s="13" t="s">
        <v>57</v>
      </c>
      <c r="B3" s="13">
        <v>0</v>
      </c>
      <c r="C3" s="12">
        <v>5.8200000000000002E-2</v>
      </c>
      <c r="D3" s="12">
        <v>25000</v>
      </c>
      <c r="E3" s="12">
        <v>25000</v>
      </c>
      <c r="F3" s="12">
        <v>670000</v>
      </c>
      <c r="G3" s="13">
        <v>0</v>
      </c>
      <c r="H3" s="12">
        <v>1.3899999999999999E-2</v>
      </c>
      <c r="I3" s="12">
        <v>6600</v>
      </c>
      <c r="J3" s="12">
        <v>6000</v>
      </c>
      <c r="K3" s="12">
        <v>260000</v>
      </c>
      <c r="L3" s="13">
        <v>0</v>
      </c>
      <c r="M3" s="12">
        <v>1.7399999999999999E-2</v>
      </c>
      <c r="N3" s="12">
        <v>9100</v>
      </c>
      <c r="O3" s="12">
        <v>7000</v>
      </c>
      <c r="P3" s="12">
        <v>170000</v>
      </c>
      <c r="Q3" s="12">
        <v>0</v>
      </c>
      <c r="R3" s="12">
        <v>2.5000000000000001E-3</v>
      </c>
      <c r="S3" s="12">
        <v>1869</v>
      </c>
      <c r="T3" s="12">
        <v>0</v>
      </c>
      <c r="U3" s="12">
        <v>30000</v>
      </c>
      <c r="V3" s="13" t="s">
        <v>51</v>
      </c>
    </row>
  </sheetData>
  <phoneticPr fontId="1"/>
  <dataValidations count="1">
    <dataValidation type="list" allowBlank="1" showInputMessage="1" showErrorMessage="1" sqref="V2:V3" xr:uid="{00000000-0002-0000-0200-000000000000}">
      <formula1>"決定,仮"</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vt:lpstr>
      <vt:lpstr>計算１</vt:lpstr>
      <vt:lpstr>税率</vt:lpstr>
      <vt:lpstr>入力!Print_Area</vt:lpstr>
      <vt:lpstr>年度選択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晴貴</dc:creator>
  <cp:lastModifiedBy>多田 てる子</cp:lastModifiedBy>
  <dcterms:created xsi:type="dcterms:W3CDTF">2020-10-13T07:55:18Z</dcterms:created>
  <dcterms:modified xsi:type="dcterms:W3CDTF">2026-03-27T04:43:13Z</dcterms:modified>
</cp:coreProperties>
</file>